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inance_Friends\Tuition and Fees Advisory Committee\2020-21\"/>
    </mc:Choice>
  </mc:AlternateContent>
  <xr:revisionPtr revIDLastSave="0" documentId="8_{7062D403-1AE9-4102-B72B-7A41617D285F}" xr6:coauthVersionLast="36" xr6:coauthVersionMax="36" xr10:uidLastSave="{00000000-0000-0000-0000-000000000000}"/>
  <bookViews>
    <workbookView xWindow="0" yWindow="0" windowWidth="28800" windowHeight="11625" xr2:uid="{9B8BECDD-5876-42A4-8614-9B5E1CCB7FD9}"/>
  </bookViews>
  <sheets>
    <sheet name="University" sheetId="1" r:id="rId1"/>
    <sheet name="Individual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O14" i="3"/>
  <c r="O13" i="3"/>
  <c r="O10" i="3"/>
  <c r="O9" i="3"/>
  <c r="O8" i="3"/>
  <c r="G18" i="1" l="1"/>
  <c r="I9" i="1"/>
  <c r="I16" i="1" l="1"/>
  <c r="I15" i="1"/>
  <c r="I14" i="1"/>
  <c r="I11" i="1"/>
  <c r="I10" i="1"/>
  <c r="M27" i="3" l="1"/>
  <c r="M28" i="3"/>
  <c r="M29" i="3"/>
  <c r="M30" i="3"/>
  <c r="M31" i="3"/>
  <c r="M32" i="3"/>
  <c r="M33" i="3"/>
  <c r="M34" i="3"/>
  <c r="M35" i="3"/>
  <c r="M36" i="3"/>
  <c r="M37" i="3"/>
  <c r="M26" i="3"/>
  <c r="I29" i="3"/>
  <c r="I28" i="3"/>
  <c r="I27" i="3"/>
  <c r="I26" i="3"/>
  <c r="J14" i="3" l="1"/>
  <c r="J13" i="3"/>
  <c r="I14" i="3"/>
  <c r="I13" i="3"/>
  <c r="H14" i="3"/>
  <c r="H13" i="3"/>
  <c r="J10" i="3" l="1"/>
  <c r="J9" i="3"/>
  <c r="I10" i="3"/>
  <c r="I9" i="3"/>
  <c r="H8" i="3"/>
  <c r="H9" i="3" s="1"/>
  <c r="G40" i="1"/>
  <c r="O31" i="1"/>
  <c r="O30" i="1"/>
  <c r="O29" i="1"/>
  <c r="O28" i="1"/>
  <c r="G43" i="1" l="1"/>
  <c r="H10" i="3"/>
  <c r="O18" i="1" l="1"/>
  <c r="M16" i="1"/>
  <c r="Q16" i="1" s="1"/>
  <c r="M15" i="1"/>
  <c r="M14" i="1"/>
  <c r="M11" i="1"/>
  <c r="M9" i="1"/>
  <c r="G16" i="1"/>
  <c r="G15" i="1"/>
  <c r="G14" i="1"/>
  <c r="G11" i="1"/>
  <c r="G10" i="1"/>
  <c r="G9" i="1"/>
  <c r="F20" i="1"/>
  <c r="L15" i="1" l="1"/>
  <c r="Q15" i="1"/>
  <c r="E14" i="3"/>
  <c r="G14" i="3" s="1"/>
  <c r="K14" i="3" s="1"/>
  <c r="M14" i="3" s="1"/>
  <c r="Q14" i="3" s="1"/>
  <c r="R14" i="3" s="1"/>
  <c r="L14" i="1"/>
  <c r="Q14" i="1"/>
  <c r="E13" i="3"/>
  <c r="G13" i="3" s="1"/>
  <c r="K13" i="3" s="1"/>
  <c r="M13" i="3" s="1"/>
  <c r="Q13" i="3" s="1"/>
  <c r="R13" i="3" s="1"/>
  <c r="L11" i="1"/>
  <c r="Q11" i="1"/>
  <c r="E10" i="3"/>
  <c r="G10" i="3" s="1"/>
  <c r="K10" i="3" s="1"/>
  <c r="M10" i="3" s="1"/>
  <c r="Q10" i="3" s="1"/>
  <c r="R10" i="3" s="1"/>
  <c r="E8" i="3"/>
  <c r="G8" i="3" s="1"/>
  <c r="K8" i="3" s="1"/>
  <c r="Q9" i="1"/>
  <c r="O15" i="1"/>
  <c r="G20" i="1"/>
  <c r="G25" i="1" s="1"/>
  <c r="G33" i="1" s="1"/>
  <c r="G45" i="1" s="1"/>
  <c r="I20" i="1"/>
  <c r="O16" i="1"/>
  <c r="O9" i="1"/>
  <c r="O14" i="1"/>
  <c r="O11" i="1"/>
  <c r="M10" i="1"/>
  <c r="Q10" i="1" s="1"/>
  <c r="Q8" i="3" l="1"/>
  <c r="R8" i="3" s="1"/>
  <c r="M8" i="3"/>
  <c r="O10" i="1"/>
  <c r="O20" i="1" s="1"/>
  <c r="Q20" i="1" s="1"/>
  <c r="E9" i="3"/>
  <c r="G9" i="3" s="1"/>
  <c r="K9" i="3" s="1"/>
  <c r="M9" i="3" s="1"/>
  <c r="Q9" i="3" s="1"/>
  <c r="R9" i="3" s="1"/>
  <c r="O25" i="1" l="1"/>
  <c r="O33" i="1" l="1"/>
</calcChain>
</file>

<file path=xl/sharedStrings.xml><?xml version="1.0" encoding="utf-8"?>
<sst xmlns="http://schemas.openxmlformats.org/spreadsheetml/2006/main" count="97" uniqueCount="85">
  <si>
    <t>Western Oregon University</t>
  </si>
  <si>
    <t>University Revenue Impact</t>
  </si>
  <si>
    <t>Tuition and Fees Projection Model</t>
  </si>
  <si>
    <t>Total</t>
  </si>
  <si>
    <t>Revenues</t>
  </si>
  <si>
    <t>Credits</t>
  </si>
  <si>
    <t>UG Tuition</t>
  </si>
  <si>
    <t>UG Resident</t>
  </si>
  <si>
    <t>UG WUE/Texas</t>
  </si>
  <si>
    <t>UG Non-Resident</t>
  </si>
  <si>
    <t>GR Tuition</t>
  </si>
  <si>
    <t>GR Resident</t>
  </si>
  <si>
    <t>GR Non-Resident</t>
  </si>
  <si>
    <t>GR Online</t>
  </si>
  <si>
    <t>Other</t>
  </si>
  <si>
    <t>Total Gross Tuition</t>
  </si>
  <si>
    <t>Fees</t>
  </si>
  <si>
    <t>Fee Remissions</t>
  </si>
  <si>
    <t>Total Net Tuition &amp; Fees</t>
  </si>
  <si>
    <t>State Appropriations</t>
  </si>
  <si>
    <t>Gifts Grants &amp; Contracts</t>
  </si>
  <si>
    <t>Investment</t>
  </si>
  <si>
    <t>Sales &amp; Services</t>
  </si>
  <si>
    <t>Other Revenues</t>
  </si>
  <si>
    <t>Total Revenues</t>
  </si>
  <si>
    <t>Decline Assumed:</t>
  </si>
  <si>
    <t>Current</t>
  </si>
  <si>
    <t>Credit Rates</t>
  </si>
  <si>
    <t>% Increase</t>
  </si>
  <si>
    <t>Rate</t>
  </si>
  <si>
    <t>Rounded %</t>
  </si>
  <si>
    <t>Expenses</t>
  </si>
  <si>
    <t>Personnel</t>
  </si>
  <si>
    <t>Service &amp; Supplies</t>
  </si>
  <si>
    <t>Capital Expense</t>
  </si>
  <si>
    <t xml:space="preserve">Total Expenses </t>
  </si>
  <si>
    <t>Total Expenses and Transfers</t>
  </si>
  <si>
    <t>Operating Net Revenues less Expenses</t>
  </si>
  <si>
    <t>Rates</t>
  </si>
  <si>
    <t>Tuition Cost</t>
  </si>
  <si>
    <t>Building Fees</t>
  </si>
  <si>
    <t>Health Service</t>
  </si>
  <si>
    <t>Incidental</t>
  </si>
  <si>
    <t>Per Term Cost</t>
  </si>
  <si>
    <t xml:space="preserve">Total </t>
  </si>
  <si>
    <t>Undergrad:</t>
  </si>
  <si>
    <t>Graduate:</t>
  </si>
  <si>
    <t>2020-21 Cost</t>
  </si>
  <si>
    <t>Resident</t>
  </si>
  <si>
    <t>WUE/Texas</t>
  </si>
  <si>
    <t>Non-Resident</t>
  </si>
  <si>
    <t>$ Increase</t>
  </si>
  <si>
    <t>Mandatory Fees*</t>
  </si>
  <si>
    <t>*Mandatory Fee Assumptions</t>
  </si>
  <si>
    <t>Building Fees includes $45 Building Fee, $11 Student Health Building Fee, and $42 Student Recreation Center Building Fee</t>
  </si>
  <si>
    <t>Incr. for Cont. Students</t>
  </si>
  <si>
    <t>15 (UG)/9 (GR) Credit</t>
  </si>
  <si>
    <t>Expected Family Contribution</t>
  </si>
  <si>
    <t>Population</t>
  </si>
  <si>
    <t>Federal + State Aid (including Pell)</t>
  </si>
  <si>
    <t>WOU Remissions</t>
  </si>
  <si>
    <t>0-1,000</t>
  </si>
  <si>
    <t>Above 75,000</t>
  </si>
  <si>
    <t>Individual Impact Estimation</t>
  </si>
  <si>
    <t>1,001-3,000</t>
  </si>
  <si>
    <t>3,001-4,000</t>
  </si>
  <si>
    <t>4,001-5,500</t>
  </si>
  <si>
    <t>5,501-10,000</t>
  </si>
  <si>
    <t>10,001-15,000</t>
  </si>
  <si>
    <t>15,001-20,000</t>
  </si>
  <si>
    <t>20,001-25,000</t>
  </si>
  <si>
    <t>25,001-30,000</t>
  </si>
  <si>
    <t>30,001-50,000</t>
  </si>
  <si>
    <t>50,001-75,000</t>
  </si>
  <si>
    <t>Total Aid</t>
  </si>
  <si>
    <t>New Freshman Estimates (from 2019-20 TFAC Model):</t>
  </si>
  <si>
    <t>FY22 Credit Rates</t>
  </si>
  <si>
    <t>Projected FY22</t>
  </si>
  <si>
    <t>FY21 (based Adj Budget)</t>
  </si>
  <si>
    <t>FY22 Credit</t>
  </si>
  <si>
    <t>2021-22 Cost</t>
  </si>
  <si>
    <t>Health Serivce Fee is currently $145</t>
  </si>
  <si>
    <t>Incidental Fee is currently at $395 and is determined by the Incidental Fee Committee</t>
  </si>
  <si>
    <t>*Net Transfers</t>
  </si>
  <si>
    <r>
      <t xml:space="preserve">Tuition and Fees Projection Model </t>
    </r>
    <r>
      <rPr>
        <b/>
        <sz val="11"/>
        <color rgb="FFFF0000"/>
        <rFont val="Calibri"/>
        <family val="2"/>
        <scheme val="minor"/>
      </rPr>
      <t>DRAFT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</si>
</sst>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 applyBorder="1"/>
    <xf numFmtId="43" fontId="0" fillId="0" borderId="0" xfId="1" applyFont="1"/>
    <xf numFmtId="164" fontId="3" fillId="0" borderId="0" xfId="1" applyNumberFormat="1" applyFont="1" applyAlignment="1">
      <alignment horizontal="left"/>
    </xf>
    <xf numFmtId="10" fontId="0" fillId="0" borderId="0" xfId="2" applyNumberFormat="1" applyFont="1"/>
    <xf numFmtId="10" fontId="0" fillId="2" borderId="0" xfId="2" applyNumberFormat="1" applyFont="1" applyFill="1"/>
    <xf numFmtId="10" fontId="0" fillId="0" borderId="0" xfId="1" applyNumberFormat="1" applyFont="1"/>
    <xf numFmtId="164" fontId="0" fillId="0" borderId="0" xfId="1" applyNumberFormat="1" applyFont="1" applyFill="1"/>
    <xf numFmtId="10" fontId="0" fillId="0" borderId="0" xfId="2" applyNumberFormat="1" applyFont="1" applyFill="1"/>
    <xf numFmtId="164" fontId="2" fillId="0" borderId="0" xfId="1" applyNumberFormat="1" applyFont="1" applyFill="1" applyAlignment="1">
      <alignment horizontal="center"/>
    </xf>
    <xf numFmtId="10" fontId="0" fillId="0" borderId="0" xfId="1" applyNumberFormat="1" applyFont="1" applyFill="1"/>
    <xf numFmtId="0" fontId="4" fillId="0" borderId="0" xfId="0" applyFont="1" applyAlignment="1">
      <alignment vertical="top"/>
    </xf>
    <xf numFmtId="0" fontId="4" fillId="0" borderId="0" xfId="0" applyFont="1"/>
    <xf numFmtId="0" fontId="3" fillId="0" borderId="0" xfId="0" applyFont="1"/>
    <xf numFmtId="164" fontId="3" fillId="0" borderId="0" xfId="1" applyNumberFormat="1" applyFont="1"/>
    <xf numFmtId="164" fontId="0" fillId="2" borderId="0" xfId="1" applyNumberFormat="1" applyFont="1" applyFill="1"/>
    <xf numFmtId="164" fontId="2" fillId="0" borderId="0" xfId="1" applyNumberFormat="1" applyFont="1" applyAlignment="1">
      <alignment horizontal="center"/>
    </xf>
    <xf numFmtId="164" fontId="4" fillId="0" borderId="0" xfId="1" applyNumberFormat="1" applyFont="1"/>
    <xf numFmtId="0" fontId="5" fillId="0" borderId="0" xfId="0" applyFont="1"/>
    <xf numFmtId="5" fontId="4" fillId="0" borderId="0" xfId="0" applyNumberFormat="1" applyFont="1"/>
    <xf numFmtId="164" fontId="4" fillId="0" borderId="0" xfId="1" applyNumberFormat="1" applyFont="1" applyFill="1"/>
    <xf numFmtId="9" fontId="4" fillId="0" borderId="0" xfId="2" applyFont="1"/>
    <xf numFmtId="5" fontId="3" fillId="0" borderId="0" xfId="0" applyNumberFormat="1" applyFont="1"/>
    <xf numFmtId="164" fontId="3" fillId="0" borderId="0" xfId="1" quotePrefix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9" fontId="0" fillId="0" borderId="0" xfId="2" applyFont="1" applyBorder="1"/>
    <xf numFmtId="10" fontId="2" fillId="3" borderId="0" xfId="2" applyNumberFormat="1" applyFont="1" applyFill="1"/>
    <xf numFmtId="10" fontId="2" fillId="0" borderId="0" xfId="2" applyNumberFormat="1" applyFont="1" applyFill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Incoming </a:t>
            </a:r>
            <a:r>
              <a:rPr lang="en-US"/>
              <a:t>Population</a:t>
            </a:r>
            <a:r>
              <a:rPr lang="en-US" baseline="0"/>
              <a:t> by EFC</a:t>
            </a:r>
            <a:endParaRPr lang="en-US"/>
          </a:p>
        </c:rich>
      </c:tx>
      <c:layout>
        <c:manualLayout>
          <c:xMode val="edge"/>
          <c:yMode val="edge"/>
          <c:x val="0.21100985397961733"/>
          <c:y val="3.1302398066504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'[1]Student Impact'!$A$11</c:f>
              <c:strCache>
                <c:ptCount val="1"/>
                <c:pt idx="0">
                  <c:v>0-1,000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Impact'!$B$11,'[1]Student Impact'!$I$11)</c15:sqref>
                  </c15:fullRef>
                </c:ext>
              </c:extLst>
              <c:f>'[1]Student Impact'!$B$11</c:f>
              <c:numCache>
                <c:formatCode>General</c:formatCode>
                <c:ptCount val="1"/>
                <c:pt idx="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8-4138-A230-C815D8A2D930}"/>
            </c:ext>
          </c:extLst>
        </c:ser>
        <c:ser>
          <c:idx val="1"/>
          <c:order val="1"/>
          <c:tx>
            <c:strRef>
              <c:f>'[1]Student Impact'!$A$12</c:f>
              <c:strCache>
                <c:ptCount val="1"/>
                <c:pt idx="0">
                  <c:v>1001-3000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Impact'!$B$12,'[1]Student Impact'!$I$12)</c15:sqref>
                  </c15:fullRef>
                </c:ext>
              </c:extLst>
              <c:f>'[1]Student Impact'!$B$12</c:f>
              <c:numCache>
                <c:formatCode>General</c:formatCode>
                <c:ptCount val="1"/>
                <c:pt idx="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8-4138-A230-C815D8A2D930}"/>
            </c:ext>
          </c:extLst>
        </c:ser>
        <c:ser>
          <c:idx val="2"/>
          <c:order val="2"/>
          <c:tx>
            <c:strRef>
              <c:f>'[1]Student Impact'!$A$13</c:f>
              <c:strCache>
                <c:ptCount val="1"/>
                <c:pt idx="0">
                  <c:v>3001-4000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Impact'!$B$13,'[1]Student Impact'!$I$13)</c15:sqref>
                  </c15:fullRef>
                </c:ext>
              </c:extLst>
              <c:f>'[1]Student Impact'!$B$13</c:f>
              <c:numCache>
                <c:formatCode>General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88-4138-A230-C815D8A2D930}"/>
            </c:ext>
          </c:extLst>
        </c:ser>
        <c:ser>
          <c:idx val="3"/>
          <c:order val="3"/>
          <c:tx>
            <c:strRef>
              <c:f>'[1]Student Impact'!$A$14</c:f>
              <c:strCache>
                <c:ptCount val="1"/>
                <c:pt idx="0">
                  <c:v>4001-5500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Impact'!$B$14,'[1]Student Impact'!$I$14)</c15:sqref>
                  </c15:fullRef>
                </c:ext>
              </c:extLst>
              <c:f>'[1]Student Impact'!$B$14</c:f>
              <c:numCache>
                <c:formatCode>General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88-4138-A230-C815D8A2D930}"/>
            </c:ext>
          </c:extLst>
        </c:ser>
        <c:ser>
          <c:idx val="4"/>
          <c:order val="4"/>
          <c:tx>
            <c:strRef>
              <c:f>'[1]Student Impact'!$A$15</c:f>
              <c:strCache>
                <c:ptCount val="1"/>
                <c:pt idx="0">
                  <c:v>5501-10000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Impact'!$B$15,'[1]Student Impact'!$I$15)</c15:sqref>
                  </c15:fullRef>
                </c:ext>
              </c:extLst>
              <c:f>'[1]Student Impact'!$B$15</c:f>
              <c:numCache>
                <c:formatCode>General</c:formatCode>
                <c:ptCount val="1"/>
                <c:pt idx="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88-4138-A230-C815D8A2D930}"/>
            </c:ext>
          </c:extLst>
        </c:ser>
        <c:ser>
          <c:idx val="5"/>
          <c:order val="5"/>
          <c:tx>
            <c:strRef>
              <c:f>'[1]Student Impact'!$A$16</c:f>
              <c:strCache>
                <c:ptCount val="1"/>
                <c:pt idx="0">
                  <c:v>10001-15000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Impact'!$B$16,'[1]Student Impact'!$I$16)</c15:sqref>
                  </c15:fullRef>
                </c:ext>
              </c:extLst>
              <c:f>'[1]Student Impact'!$B$16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88-4138-A230-C815D8A2D930}"/>
            </c:ext>
          </c:extLst>
        </c:ser>
        <c:ser>
          <c:idx val="6"/>
          <c:order val="6"/>
          <c:tx>
            <c:strRef>
              <c:f>'[1]Student Impact'!$A$17</c:f>
              <c:strCache>
                <c:ptCount val="1"/>
                <c:pt idx="0">
                  <c:v>15001-20000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Impact'!$B$17,'[1]Student Impact'!$I$17)</c15:sqref>
                  </c15:fullRef>
                </c:ext>
              </c:extLst>
              <c:f>'[1]Student Impact'!$B$17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88-4138-A230-C815D8A2D930}"/>
            </c:ext>
          </c:extLst>
        </c:ser>
        <c:ser>
          <c:idx val="7"/>
          <c:order val="7"/>
          <c:tx>
            <c:strRef>
              <c:f>'[1]Student Impact'!$A$18</c:f>
              <c:strCache>
                <c:ptCount val="1"/>
                <c:pt idx="0">
                  <c:v>20001-25000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Impact'!$B$18,'[1]Student Impact'!$I$18)</c15:sqref>
                  </c15:fullRef>
                </c:ext>
              </c:extLst>
              <c:f>'[1]Student Impact'!$B$18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88-4138-A230-C815D8A2D930}"/>
            </c:ext>
          </c:extLst>
        </c:ser>
        <c:ser>
          <c:idx val="8"/>
          <c:order val="8"/>
          <c:tx>
            <c:strRef>
              <c:f>'[1]Student Impact'!$A$19</c:f>
              <c:strCache>
                <c:ptCount val="1"/>
                <c:pt idx="0">
                  <c:v>25001-30000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Impact'!$B$19,'[1]Student Impact'!$I$19)</c15:sqref>
                  </c15:fullRef>
                </c:ext>
              </c:extLst>
              <c:f>'[1]Student Impact'!$B$19</c:f>
              <c:numCache>
                <c:formatCode>General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88-4138-A230-C815D8A2D930}"/>
            </c:ext>
          </c:extLst>
        </c:ser>
        <c:ser>
          <c:idx val="9"/>
          <c:order val="9"/>
          <c:tx>
            <c:strRef>
              <c:f>'[1]Student Impact'!$A$20</c:f>
              <c:strCache>
                <c:ptCount val="1"/>
                <c:pt idx="0">
                  <c:v>30001-50000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Impact'!$B$20,'[1]Student Impact'!$I$20)</c15:sqref>
                  </c15:fullRef>
                </c:ext>
              </c:extLst>
              <c:f>'[1]Student Impact'!$B$20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88-4138-A230-C815D8A2D930}"/>
            </c:ext>
          </c:extLst>
        </c:ser>
        <c:ser>
          <c:idx val="10"/>
          <c:order val="10"/>
          <c:tx>
            <c:strRef>
              <c:f>'[1]Student Impact'!$A$21</c:f>
              <c:strCache>
                <c:ptCount val="1"/>
                <c:pt idx="0">
                  <c:v>50001-75000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Impact'!$B$21,'[1]Student Impact'!$I$21)</c15:sqref>
                  </c15:fullRef>
                </c:ext>
              </c:extLst>
              <c:f>'[1]Student Impact'!$B$21</c:f>
              <c:numCache>
                <c:formatCode>General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88-4138-A230-C815D8A2D930}"/>
            </c:ext>
          </c:extLst>
        </c:ser>
        <c:ser>
          <c:idx val="11"/>
          <c:order val="11"/>
          <c:tx>
            <c:strRef>
              <c:f>'[1]Student Impact'!$A$22</c:f>
              <c:strCache>
                <c:ptCount val="1"/>
                <c:pt idx="0">
                  <c:v>Above 75,000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Impact'!$B$22,'[1]Student Impact'!$I$22)</c15:sqref>
                  </c15:fullRef>
                </c:ext>
              </c:extLst>
              <c:f>'[1]Student Impact'!$B$22</c:f>
              <c:numCache>
                <c:formatCode>General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88-4138-A230-C815D8A2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184192"/>
        <c:axId val="210184752"/>
      </c:barChart>
      <c:catAx>
        <c:axId val="21018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4752"/>
        <c:crosses val="autoZero"/>
        <c:auto val="1"/>
        <c:lblAlgn val="ctr"/>
        <c:lblOffset val="100"/>
        <c:noMultiLvlLbl val="0"/>
      </c:catAx>
      <c:valAx>
        <c:axId val="21018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190499</xdr:rowOff>
    </xdr:from>
    <xdr:to>
      <xdr:col>9</xdr:col>
      <xdr:colOff>200025</xdr:colOff>
      <xdr:row>54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99DA80-ABF4-495B-91B6-F3BFE3E67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pfieldc\Downloads\Tuition-Model-Workshee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ition Projection FY20"/>
      <sheetName val="Sheet1"/>
      <sheetName val="FGIBDSR - 2020-01-30T100003.308"/>
      <sheetName val="Student Impact"/>
    </sheetNames>
    <sheetDataSet>
      <sheetData sheetId="0"/>
      <sheetData sheetId="1"/>
      <sheetData sheetId="2"/>
      <sheetData sheetId="3">
        <row r="10">
          <cell r="B10" t="str">
            <v>Population</v>
          </cell>
          <cell r="I10" t="str">
            <v>% of Gross Tuition</v>
          </cell>
        </row>
        <row r="11">
          <cell r="A11" t="str">
            <v>0-1,000</v>
          </cell>
          <cell r="B11">
            <v>0.31</v>
          </cell>
          <cell r="I11">
            <v>-2.0337177790382559</v>
          </cell>
        </row>
        <row r="12">
          <cell r="A12" t="str">
            <v>1001-3000</v>
          </cell>
          <cell r="B12">
            <v>0.09</v>
          </cell>
          <cell r="I12">
            <v>-1.7217495430768264</v>
          </cell>
        </row>
        <row r="13">
          <cell r="A13" t="str">
            <v>3001-4000</v>
          </cell>
          <cell r="B13">
            <v>0.05</v>
          </cell>
          <cell r="I13">
            <v>-1.5326778849183842</v>
          </cell>
        </row>
        <row r="14">
          <cell r="A14" t="str">
            <v>4001-5500</v>
          </cell>
          <cell r="B14">
            <v>0.04</v>
          </cell>
          <cell r="I14">
            <v>-0.59973529967857842</v>
          </cell>
        </row>
        <row r="15">
          <cell r="A15" t="str">
            <v>5501-10000</v>
          </cell>
          <cell r="B15">
            <v>0.11</v>
          </cell>
          <cell r="I15">
            <v>0.45194428688472926</v>
          </cell>
        </row>
        <row r="16">
          <cell r="A16" t="str">
            <v>10001-15000</v>
          </cell>
          <cell r="B16">
            <v>7.0000000000000007E-2</v>
          </cell>
          <cell r="I16">
            <v>0.51496817293754327</v>
          </cell>
        </row>
        <row r="17">
          <cell r="A17" t="str">
            <v>15001-20000</v>
          </cell>
          <cell r="B17">
            <v>7.0000000000000007E-2</v>
          </cell>
          <cell r="I17">
            <v>0.57799205899035733</v>
          </cell>
        </row>
        <row r="18">
          <cell r="A18" t="str">
            <v>20001-25000</v>
          </cell>
          <cell r="B18">
            <v>7.0000000000000007E-2</v>
          </cell>
          <cell r="I18">
            <v>0.64101594504317128</v>
          </cell>
        </row>
        <row r="19">
          <cell r="A19" t="str">
            <v>25001-30000</v>
          </cell>
          <cell r="B19">
            <v>0.04</v>
          </cell>
          <cell r="I19">
            <v>0.64101594504317128</v>
          </cell>
        </row>
        <row r="20">
          <cell r="A20" t="str">
            <v>30001-50000</v>
          </cell>
          <cell r="B20">
            <v>7.0000000000000007E-2</v>
          </cell>
          <cell r="I20">
            <v>0.64101594504317128</v>
          </cell>
        </row>
        <row r="21">
          <cell r="A21" t="str">
            <v>50001-75000</v>
          </cell>
          <cell r="B21">
            <v>0.03</v>
          </cell>
          <cell r="I21">
            <v>0.64101594504317128</v>
          </cell>
        </row>
        <row r="22">
          <cell r="A22" t="str">
            <v>Above 75,000</v>
          </cell>
          <cell r="B22">
            <v>0.04</v>
          </cell>
          <cell r="I22">
            <v>0.64101594504317128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1017-405B-4755-9D13-D88C1E747700}">
  <dimension ref="A1:Q46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L3" sqref="L3"/>
    </sheetView>
  </sheetViews>
  <sheetFormatPr defaultColWidth="9.140625" defaultRowHeight="15" x14ac:dyDescent="0.25"/>
  <cols>
    <col min="1" max="2" width="2.7109375" style="2" customWidth="1"/>
    <col min="3" max="3" width="18" style="2" bestFit="1" customWidth="1"/>
    <col min="4" max="4" width="12.42578125" style="2" bestFit="1" customWidth="1"/>
    <col min="5" max="5" width="2.7109375" style="2" customWidth="1"/>
    <col min="6" max="6" width="13.140625" style="2" customWidth="1"/>
    <col min="7" max="7" width="14.28515625" style="2" bestFit="1" customWidth="1"/>
    <col min="8" max="8" width="2.7109375" style="2" customWidth="1"/>
    <col min="9" max="9" width="18.5703125" style="2" bestFit="1" customWidth="1"/>
    <col min="10" max="10" width="2.7109375" style="2" customWidth="1"/>
    <col min="11" max="11" width="13.28515625" style="2" bestFit="1" customWidth="1"/>
    <col min="12" max="12" width="12.42578125" style="11" bestFit="1" customWidth="1"/>
    <col min="13" max="13" width="9.28515625" style="2" customWidth="1"/>
    <col min="14" max="14" width="2.7109375" style="2" customWidth="1"/>
    <col min="15" max="15" width="15.7109375" style="2" bestFit="1" customWidth="1"/>
    <col min="16" max="16" width="2.7109375" style="2" customWidth="1"/>
    <col min="17" max="17" width="12.5703125" style="2" customWidth="1"/>
    <col min="18" max="16384" width="9.140625" style="2"/>
  </cols>
  <sheetData>
    <row r="1" spans="1:17" x14ac:dyDescent="0.25">
      <c r="A1" s="7" t="s">
        <v>0</v>
      </c>
    </row>
    <row r="2" spans="1:17" x14ac:dyDescent="0.25">
      <c r="A2" s="7" t="s">
        <v>2</v>
      </c>
    </row>
    <row r="3" spans="1:17" x14ac:dyDescent="0.25">
      <c r="A3" s="7" t="s">
        <v>1</v>
      </c>
      <c r="I3" s="1" t="s">
        <v>25</v>
      </c>
      <c r="K3" s="9">
        <v>0.05</v>
      </c>
      <c r="L3" s="12"/>
    </row>
    <row r="5" spans="1:17" x14ac:dyDescent="0.25">
      <c r="D5" s="3" t="s">
        <v>26</v>
      </c>
      <c r="F5" s="32" t="s">
        <v>78</v>
      </c>
      <c r="G5" s="32"/>
      <c r="I5" s="3" t="s">
        <v>77</v>
      </c>
      <c r="K5" s="32" t="s">
        <v>76</v>
      </c>
      <c r="L5" s="32"/>
      <c r="M5" s="32"/>
      <c r="N5" s="3"/>
      <c r="O5" s="3" t="s">
        <v>77</v>
      </c>
    </row>
    <row r="6" spans="1:17" x14ac:dyDescent="0.25">
      <c r="A6" s="3"/>
      <c r="B6" s="3"/>
      <c r="C6" s="3"/>
      <c r="D6" s="3" t="s">
        <v>27</v>
      </c>
      <c r="E6" s="3"/>
      <c r="F6" s="3" t="s">
        <v>5</v>
      </c>
      <c r="G6" s="3" t="s">
        <v>4</v>
      </c>
      <c r="I6" s="3" t="s">
        <v>5</v>
      </c>
      <c r="K6" s="3" t="s">
        <v>28</v>
      </c>
      <c r="L6" s="13" t="s">
        <v>30</v>
      </c>
      <c r="M6" s="3" t="s">
        <v>29</v>
      </c>
      <c r="N6" s="3"/>
      <c r="O6" s="3" t="s">
        <v>4</v>
      </c>
      <c r="Q6" s="13" t="s">
        <v>51</v>
      </c>
    </row>
    <row r="7" spans="1:17" x14ac:dyDescent="0.25">
      <c r="A7" s="1" t="s">
        <v>4</v>
      </c>
    </row>
    <row r="8" spans="1:17" x14ac:dyDescent="0.25">
      <c r="B8" s="2" t="s">
        <v>6</v>
      </c>
    </row>
    <row r="9" spans="1:17" s="1" customFormat="1" x14ac:dyDescent="0.25">
      <c r="C9" s="1" t="s">
        <v>7</v>
      </c>
      <c r="D9" s="1">
        <v>184</v>
      </c>
      <c r="F9" s="1">
        <v>117648</v>
      </c>
      <c r="G9" s="1">
        <f>F9*D9</f>
        <v>21647232</v>
      </c>
      <c r="I9" s="1">
        <f>ROUNDDOWN(F9*(1-$K$3),0)</f>
        <v>111765</v>
      </c>
      <c r="K9" s="30">
        <v>0</v>
      </c>
      <c r="L9" s="31">
        <v>0.05</v>
      </c>
      <c r="M9" s="1">
        <f>ROUNDDOWN(D9*(1+K9),0)</f>
        <v>184</v>
      </c>
      <c r="O9" s="1">
        <f>I9*M9</f>
        <v>20564760</v>
      </c>
      <c r="Q9" s="1">
        <f>M9-D9</f>
        <v>0</v>
      </c>
    </row>
    <row r="10" spans="1:17" x14ac:dyDescent="0.25">
      <c r="C10" s="2" t="s">
        <v>8</v>
      </c>
      <c r="D10" s="2">
        <v>276</v>
      </c>
      <c r="F10" s="2">
        <v>27657</v>
      </c>
      <c r="G10" s="2">
        <f t="shared" ref="G10:G11" si="0">F10*D10</f>
        <v>7633332</v>
      </c>
      <c r="I10" s="2">
        <f>ROUNDDOWN(F10*(1-$K$3),0)</f>
        <v>26274</v>
      </c>
      <c r="K10" s="8"/>
      <c r="L10" s="12"/>
      <c r="M10" s="2">
        <f>ROUNDDOWN((M9*1.5),0)</f>
        <v>276</v>
      </c>
      <c r="O10" s="2">
        <f t="shared" ref="O10:O11" si="1">I10*M10</f>
        <v>7251624</v>
      </c>
      <c r="Q10" s="2">
        <f>M10-D10</f>
        <v>0</v>
      </c>
    </row>
    <row r="11" spans="1:17" x14ac:dyDescent="0.25">
      <c r="C11" s="2" t="s">
        <v>9</v>
      </c>
      <c r="D11" s="2">
        <v>602</v>
      </c>
      <c r="F11" s="2">
        <v>2892</v>
      </c>
      <c r="G11" s="2">
        <f t="shared" si="0"/>
        <v>1740984</v>
      </c>
      <c r="I11" s="2">
        <f>ROUNDDOWN(F11*(1-$K$3),0)</f>
        <v>2747</v>
      </c>
      <c r="K11" s="9">
        <v>0.05</v>
      </c>
      <c r="L11" s="12">
        <f t="shared" ref="L11" si="2">M11/D11-1</f>
        <v>4.9833887043189362E-2</v>
      </c>
      <c r="M11" s="2">
        <f>ROUNDDOWN(D11*(1+K11),0)</f>
        <v>632</v>
      </c>
      <c r="O11" s="2">
        <f t="shared" si="1"/>
        <v>1736104</v>
      </c>
      <c r="Q11" s="2">
        <f>M11-D11</f>
        <v>30</v>
      </c>
    </row>
    <row r="12" spans="1:17" x14ac:dyDescent="0.25">
      <c r="K12" s="8"/>
      <c r="L12" s="12"/>
      <c r="O12" s="6"/>
    </row>
    <row r="13" spans="1:17" x14ac:dyDescent="0.25">
      <c r="B13" s="2" t="s">
        <v>10</v>
      </c>
      <c r="K13" s="8"/>
      <c r="L13" s="12"/>
      <c r="O13" s="6"/>
    </row>
    <row r="14" spans="1:17" x14ac:dyDescent="0.25">
      <c r="C14" s="2" t="s">
        <v>11</v>
      </c>
      <c r="D14" s="2">
        <v>446</v>
      </c>
      <c r="F14" s="2">
        <v>838</v>
      </c>
      <c r="G14" s="2">
        <f t="shared" ref="G14:G16" si="3">F14*D14</f>
        <v>373748</v>
      </c>
      <c r="I14" s="2">
        <f>ROUNDDOWN(F14*(1-$K$3),0)</f>
        <v>796</v>
      </c>
      <c r="K14" s="9">
        <v>0.05</v>
      </c>
      <c r="L14" s="12">
        <f t="shared" ref="L14:L15" si="4">M14/D14-1</f>
        <v>4.9327354260089606E-2</v>
      </c>
      <c r="M14" s="2">
        <f t="shared" ref="M14:M16" si="5">ROUNDDOWN(D14*(1+K14),0)</f>
        <v>468</v>
      </c>
      <c r="O14" s="2">
        <f t="shared" ref="O14:O16" si="6">I14*M14</f>
        <v>372528</v>
      </c>
      <c r="Q14" s="2">
        <f>M14-D14</f>
        <v>22</v>
      </c>
    </row>
    <row r="15" spans="1:17" x14ac:dyDescent="0.25">
      <c r="C15" s="2" t="s">
        <v>12</v>
      </c>
      <c r="D15" s="2">
        <v>739</v>
      </c>
      <c r="F15" s="2">
        <v>392</v>
      </c>
      <c r="G15" s="2">
        <f t="shared" si="3"/>
        <v>289688</v>
      </c>
      <c r="I15" s="2">
        <f>ROUNDDOWN(F15*(1-$K$3),0)</f>
        <v>372</v>
      </c>
      <c r="K15" s="9">
        <v>0.05</v>
      </c>
      <c r="L15" s="12">
        <f t="shared" si="4"/>
        <v>4.8714479025710355E-2</v>
      </c>
      <c r="M15" s="2">
        <f t="shared" si="5"/>
        <v>775</v>
      </c>
      <c r="O15" s="2">
        <f t="shared" si="6"/>
        <v>288300</v>
      </c>
      <c r="Q15" s="2">
        <f>M15-D15</f>
        <v>36</v>
      </c>
    </row>
    <row r="16" spans="1:17" x14ac:dyDescent="0.25">
      <c r="C16" s="2" t="s">
        <v>13</v>
      </c>
      <c r="D16" s="2">
        <v>493</v>
      </c>
      <c r="F16" s="2">
        <v>7427</v>
      </c>
      <c r="G16" s="2">
        <f t="shared" si="3"/>
        <v>3661511</v>
      </c>
      <c r="I16" s="2">
        <f>ROUNDDOWN(F16*(1-$K$3),0)</f>
        <v>7055</v>
      </c>
      <c r="K16" s="9">
        <v>0</v>
      </c>
      <c r="L16" s="12">
        <v>0</v>
      </c>
      <c r="M16" s="2">
        <f t="shared" si="5"/>
        <v>493</v>
      </c>
      <c r="O16" s="2">
        <f t="shared" si="6"/>
        <v>3478115</v>
      </c>
      <c r="Q16" s="2">
        <f>M16-D16</f>
        <v>0</v>
      </c>
    </row>
    <row r="17" spans="2:17" x14ac:dyDescent="0.25">
      <c r="K17" s="8"/>
      <c r="L17" s="12"/>
      <c r="O17" s="6"/>
    </row>
    <row r="18" spans="2:17" x14ac:dyDescent="0.25">
      <c r="B18" s="2" t="s">
        <v>14</v>
      </c>
      <c r="F18" s="4">
        <v>0</v>
      </c>
      <c r="G18" s="4">
        <f>2900000-56495</f>
        <v>2843505</v>
      </c>
      <c r="I18" s="4">
        <v>0</v>
      </c>
      <c r="K18" s="10"/>
      <c r="L18" s="14"/>
      <c r="O18" s="4">
        <f>G18</f>
        <v>2843505</v>
      </c>
    </row>
    <row r="19" spans="2:17" x14ac:dyDescent="0.25">
      <c r="K19" s="10"/>
      <c r="L19" s="14"/>
    </row>
    <row r="20" spans="2:17" x14ac:dyDescent="0.25">
      <c r="B20" s="2" t="s">
        <v>15</v>
      </c>
      <c r="F20" s="2">
        <f>SUM(F9:F18)</f>
        <v>156854</v>
      </c>
      <c r="G20" s="2">
        <f>SUM(G9:G18)</f>
        <v>38190000</v>
      </c>
      <c r="I20" s="2">
        <f>SUM(I9:I18)</f>
        <v>149009</v>
      </c>
      <c r="K20" s="10"/>
      <c r="L20" s="14"/>
      <c r="O20" s="2">
        <f>SUM(O9:O18)</f>
        <v>36534936</v>
      </c>
      <c r="Q20" s="2">
        <f>O20-G20</f>
        <v>-1655064</v>
      </c>
    </row>
    <row r="21" spans="2:17" x14ac:dyDescent="0.25">
      <c r="K21" s="10"/>
      <c r="L21" s="14"/>
    </row>
    <row r="22" spans="2:17" x14ac:dyDescent="0.25">
      <c r="B22" s="2" t="s">
        <v>16</v>
      </c>
      <c r="G22" s="2">
        <v>6825000</v>
      </c>
      <c r="O22" s="2">
        <v>3058750</v>
      </c>
    </row>
    <row r="23" spans="2:17" x14ac:dyDescent="0.25">
      <c r="B23" s="2" t="s">
        <v>17</v>
      </c>
      <c r="G23" s="4">
        <v>-7050000</v>
      </c>
      <c r="O23" s="4">
        <f>G23</f>
        <v>-7050000</v>
      </c>
    </row>
    <row r="25" spans="2:17" x14ac:dyDescent="0.25">
      <c r="B25" s="2" t="s">
        <v>18</v>
      </c>
      <c r="G25" s="2">
        <f>SUM(G20:G24)</f>
        <v>37965000</v>
      </c>
      <c r="O25" s="2">
        <f>SUM(O20:O24)</f>
        <v>32543686</v>
      </c>
    </row>
    <row r="27" spans="2:17" x14ac:dyDescent="0.25">
      <c r="B27" s="2" t="s">
        <v>19</v>
      </c>
      <c r="G27" s="2">
        <v>28981566</v>
      </c>
      <c r="O27" s="19">
        <v>26828124</v>
      </c>
    </row>
    <row r="28" spans="2:17" x14ac:dyDescent="0.25">
      <c r="B28" s="2" t="s">
        <v>20</v>
      </c>
      <c r="G28" s="2">
        <v>500000</v>
      </c>
      <c r="O28" s="2">
        <f>G28</f>
        <v>500000</v>
      </c>
    </row>
    <row r="29" spans="2:17" x14ac:dyDescent="0.25">
      <c r="B29" s="2" t="s">
        <v>21</v>
      </c>
      <c r="G29" s="2">
        <v>2000000</v>
      </c>
      <c r="O29" s="2">
        <f>G29</f>
        <v>2000000</v>
      </c>
    </row>
    <row r="30" spans="2:17" x14ac:dyDescent="0.25">
      <c r="B30" s="2" t="s">
        <v>22</v>
      </c>
      <c r="G30" s="2">
        <v>500000</v>
      </c>
      <c r="O30" s="2">
        <f>G30</f>
        <v>500000</v>
      </c>
    </row>
    <row r="31" spans="2:17" x14ac:dyDescent="0.25">
      <c r="B31" s="2" t="s">
        <v>23</v>
      </c>
      <c r="G31" s="4">
        <v>100000</v>
      </c>
      <c r="O31" s="4">
        <f>G31</f>
        <v>100000</v>
      </c>
    </row>
    <row r="33" spans="1:17" x14ac:dyDescent="0.25">
      <c r="A33" s="1" t="s">
        <v>24</v>
      </c>
      <c r="G33" s="2">
        <f>SUM(G25:G31)</f>
        <v>70046566</v>
      </c>
      <c r="O33" s="2">
        <f>SUM(O25:O31)</f>
        <v>62471810</v>
      </c>
    </row>
    <row r="35" spans="1:17" x14ac:dyDescent="0.25">
      <c r="A35" s="1" t="s">
        <v>31</v>
      </c>
      <c r="O35" s="1"/>
      <c r="Q35" s="1"/>
    </row>
    <row r="36" spans="1:17" x14ac:dyDescent="0.25">
      <c r="B36" s="15" t="s">
        <v>32</v>
      </c>
      <c r="G36" s="2">
        <v>57177843</v>
      </c>
    </row>
    <row r="37" spans="1:17" x14ac:dyDescent="0.25">
      <c r="B37" s="16" t="s">
        <v>33</v>
      </c>
      <c r="G37" s="2">
        <v>8848814</v>
      </c>
    </row>
    <row r="38" spans="1:17" x14ac:dyDescent="0.25">
      <c r="B38" s="16" t="s">
        <v>34</v>
      </c>
      <c r="G38" s="4">
        <v>209691</v>
      </c>
    </row>
    <row r="39" spans="1:17" x14ac:dyDescent="0.25">
      <c r="B39" s="16"/>
      <c r="G39" s="5"/>
    </row>
    <row r="40" spans="1:17" x14ac:dyDescent="0.25">
      <c r="B40" s="16" t="s">
        <v>35</v>
      </c>
      <c r="G40" s="2">
        <f>SUM(G36:G38)</f>
        <v>66236348</v>
      </c>
    </row>
    <row r="41" spans="1:17" x14ac:dyDescent="0.25">
      <c r="B41" s="16" t="s">
        <v>83</v>
      </c>
      <c r="G41" s="4">
        <v>5093785</v>
      </c>
    </row>
    <row r="42" spans="1:17" x14ac:dyDescent="0.25">
      <c r="B42" s="16"/>
    </row>
    <row r="43" spans="1:17" x14ac:dyDescent="0.25">
      <c r="A43" s="17" t="s">
        <v>36</v>
      </c>
      <c r="G43" s="2">
        <f>SUM(G40:G41)</f>
        <v>71330133</v>
      </c>
    </row>
    <row r="44" spans="1:17" x14ac:dyDescent="0.25">
      <c r="A44" s="16"/>
    </row>
    <row r="45" spans="1:17" x14ac:dyDescent="0.25">
      <c r="A45" s="17" t="s">
        <v>37</v>
      </c>
      <c r="G45" s="2">
        <f>G33-G43</f>
        <v>-1283567</v>
      </c>
    </row>
    <row r="46" spans="1:17" x14ac:dyDescent="0.25">
      <c r="B46" s="17"/>
    </row>
  </sheetData>
  <mergeCells count="2">
    <mergeCell ref="F5:G5"/>
    <mergeCell ref="K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C636-00C3-42EC-952B-21205F0F0C6F}">
  <dimension ref="A1:U37"/>
  <sheetViews>
    <sheetView workbookViewId="0">
      <selection activeCell="G3" sqref="G3"/>
    </sheetView>
  </sheetViews>
  <sheetFormatPr defaultColWidth="9.140625" defaultRowHeight="15" x14ac:dyDescent="0.25"/>
  <cols>
    <col min="1" max="1" width="2.7109375" style="2" customWidth="1"/>
    <col min="2" max="2" width="18" style="2" bestFit="1" customWidth="1"/>
    <col min="3" max="3" width="13.28515625" style="2" bestFit="1" customWidth="1"/>
    <col min="4" max="4" width="2.7109375" style="2" customWidth="1"/>
    <col min="5" max="5" width="12.42578125" style="2" bestFit="1" customWidth="1"/>
    <col min="6" max="6" width="2.7109375" style="2" customWidth="1"/>
    <col min="7" max="7" width="21.7109375" style="2" bestFit="1" customWidth="1"/>
    <col min="8" max="8" width="14.42578125" style="2" bestFit="1" customWidth="1"/>
    <col min="9" max="9" width="15.28515625" style="2" bestFit="1" customWidth="1"/>
    <col min="10" max="10" width="11.28515625" style="2" bestFit="1" customWidth="1"/>
    <col min="11" max="11" width="18" style="2" bestFit="1" customWidth="1"/>
    <col min="12" max="12" width="2.7109375" style="2" customWidth="1"/>
    <col min="13" max="13" width="13.140625" style="2" bestFit="1" customWidth="1"/>
    <col min="14" max="14" width="2.7109375" style="2" customWidth="1"/>
    <col min="15" max="15" width="13.5703125" style="2" bestFit="1" customWidth="1"/>
    <col min="16" max="16" width="2.7109375" style="2" customWidth="1"/>
    <col min="17" max="17" width="11.28515625" style="2" bestFit="1" customWidth="1"/>
    <col min="18" max="18" width="11.85546875" style="2" bestFit="1" customWidth="1"/>
    <col min="19" max="19" width="2.7109375" style="2" customWidth="1"/>
    <col min="20" max="20" width="12.85546875" style="2" bestFit="1" customWidth="1"/>
    <col min="21" max="16384" width="9.140625" style="2"/>
  </cols>
  <sheetData>
    <row r="1" spans="1:21" x14ac:dyDescent="0.25">
      <c r="A1" s="7" t="s">
        <v>0</v>
      </c>
    </row>
    <row r="2" spans="1:21" x14ac:dyDescent="0.25">
      <c r="A2" s="7" t="s">
        <v>84</v>
      </c>
    </row>
    <row r="3" spans="1:21" x14ac:dyDescent="0.25">
      <c r="A3" s="18" t="s">
        <v>63</v>
      </c>
    </row>
    <row r="5" spans="1:21" s="3" customFormat="1" x14ac:dyDescent="0.25">
      <c r="C5" s="3" t="s">
        <v>26</v>
      </c>
      <c r="E5" s="3" t="s">
        <v>79</v>
      </c>
      <c r="G5" s="3" t="s">
        <v>56</v>
      </c>
      <c r="H5" s="32" t="s">
        <v>52</v>
      </c>
      <c r="I5" s="32"/>
      <c r="J5" s="32"/>
      <c r="K5" s="3" t="s">
        <v>3</v>
      </c>
      <c r="M5" s="3" t="s">
        <v>44</v>
      </c>
      <c r="O5" s="3" t="s">
        <v>44</v>
      </c>
      <c r="Q5" s="32" t="s">
        <v>55</v>
      </c>
      <c r="R5" s="32"/>
      <c r="T5" s="33"/>
      <c r="U5" s="33"/>
    </row>
    <row r="6" spans="1:21" s="3" customFormat="1" x14ac:dyDescent="0.25">
      <c r="C6" s="3" t="s">
        <v>27</v>
      </c>
      <c r="E6" s="3" t="s">
        <v>38</v>
      </c>
      <c r="G6" s="3" t="s">
        <v>39</v>
      </c>
      <c r="H6" s="3" t="s">
        <v>40</v>
      </c>
      <c r="I6" s="3" t="s">
        <v>41</v>
      </c>
      <c r="J6" s="3" t="s">
        <v>42</v>
      </c>
      <c r="K6" s="3" t="s">
        <v>43</v>
      </c>
      <c r="M6" s="3" t="s">
        <v>80</v>
      </c>
      <c r="O6" s="3" t="s">
        <v>47</v>
      </c>
      <c r="Q6" s="3" t="s">
        <v>51</v>
      </c>
      <c r="R6" s="3" t="s">
        <v>28</v>
      </c>
      <c r="T6" s="28"/>
      <c r="U6" s="28"/>
    </row>
    <row r="7" spans="1:21" x14ac:dyDescent="0.25">
      <c r="A7" s="2" t="s">
        <v>45</v>
      </c>
      <c r="T7" s="5"/>
      <c r="U7" s="5"/>
    </row>
    <row r="8" spans="1:21" x14ac:dyDescent="0.25">
      <c r="B8" s="2" t="s">
        <v>48</v>
      </c>
      <c r="C8" s="2">
        <v>184</v>
      </c>
      <c r="E8" s="2">
        <f>University!M9</f>
        <v>184</v>
      </c>
      <c r="G8" s="2">
        <f>E8*15</f>
        <v>2760</v>
      </c>
      <c r="H8" s="2">
        <f>45+11+42</f>
        <v>98</v>
      </c>
      <c r="I8" s="11">
        <v>145</v>
      </c>
      <c r="J8" s="2">
        <v>395</v>
      </c>
      <c r="K8" s="2">
        <f>SUM(G8:J8)</f>
        <v>3398</v>
      </c>
      <c r="M8" s="2">
        <f>K8*3</f>
        <v>10194</v>
      </c>
      <c r="O8" s="2">
        <f>(C8*15+638)*3</f>
        <v>10194</v>
      </c>
      <c r="Q8" s="2">
        <f>M8-O8</f>
        <v>0</v>
      </c>
      <c r="R8" s="8">
        <f>Q8/O8</f>
        <v>0</v>
      </c>
      <c r="T8" s="5"/>
      <c r="U8" s="29"/>
    </row>
    <row r="9" spans="1:21" x14ac:dyDescent="0.25">
      <c r="B9" s="2" t="s">
        <v>49</v>
      </c>
      <c r="C9" s="2">
        <v>276</v>
      </c>
      <c r="E9" s="2">
        <f>University!M10</f>
        <v>276</v>
      </c>
      <c r="G9" s="2">
        <f t="shared" ref="G9:G10" si="0">E9*15</f>
        <v>4140</v>
      </c>
      <c r="H9" s="2">
        <f t="shared" ref="H9:J10" si="1">H$8</f>
        <v>98</v>
      </c>
      <c r="I9" s="2">
        <f t="shared" si="1"/>
        <v>145</v>
      </c>
      <c r="J9" s="2">
        <f t="shared" si="1"/>
        <v>395</v>
      </c>
      <c r="K9" s="2">
        <f t="shared" ref="K9:K10" si="2">SUM(G9:J9)</f>
        <v>4778</v>
      </c>
      <c r="M9" s="2">
        <f t="shared" ref="M9:M10" si="3">K9*3</f>
        <v>14334</v>
      </c>
      <c r="O9" s="2">
        <f>(C9*15+638)*3</f>
        <v>14334</v>
      </c>
      <c r="Q9" s="2">
        <f t="shared" ref="Q9:Q10" si="4">M9-O9</f>
        <v>0</v>
      </c>
      <c r="R9" s="8">
        <f t="shared" ref="R9:R10" si="5">Q9/O9</f>
        <v>0</v>
      </c>
      <c r="T9" s="5"/>
      <c r="U9" s="29"/>
    </row>
    <row r="10" spans="1:21" x14ac:dyDescent="0.25">
      <c r="B10" s="2" t="s">
        <v>50</v>
      </c>
      <c r="C10" s="2">
        <v>602</v>
      </c>
      <c r="E10" s="2">
        <f>University!M11</f>
        <v>632</v>
      </c>
      <c r="G10" s="2">
        <f t="shared" si="0"/>
        <v>9480</v>
      </c>
      <c r="H10" s="2">
        <f t="shared" si="1"/>
        <v>98</v>
      </c>
      <c r="I10" s="2">
        <f t="shared" si="1"/>
        <v>145</v>
      </c>
      <c r="J10" s="2">
        <f t="shared" si="1"/>
        <v>395</v>
      </c>
      <c r="K10" s="2">
        <f t="shared" si="2"/>
        <v>10118</v>
      </c>
      <c r="M10" s="2">
        <f t="shared" si="3"/>
        <v>30354</v>
      </c>
      <c r="O10" s="2">
        <f>(C10*15+638)*3</f>
        <v>29004</v>
      </c>
      <c r="Q10" s="2">
        <f t="shared" si="4"/>
        <v>1350</v>
      </c>
      <c r="R10" s="8">
        <f t="shared" si="5"/>
        <v>4.6545304095986763E-2</v>
      </c>
      <c r="T10" s="5"/>
      <c r="U10" s="29"/>
    </row>
    <row r="11" spans="1:21" x14ac:dyDescent="0.25">
      <c r="R11" s="8"/>
      <c r="T11" s="5"/>
      <c r="U11" s="29"/>
    </row>
    <row r="12" spans="1:21" x14ac:dyDescent="0.25">
      <c r="A12" s="2" t="s">
        <v>46</v>
      </c>
      <c r="R12" s="8"/>
      <c r="T12" s="5"/>
      <c r="U12" s="29"/>
    </row>
    <row r="13" spans="1:21" x14ac:dyDescent="0.25">
      <c r="B13" s="2" t="s">
        <v>48</v>
      </c>
      <c r="C13" s="2">
        <v>446</v>
      </c>
      <c r="E13" s="2">
        <f>University!M14</f>
        <v>468</v>
      </c>
      <c r="G13" s="2">
        <f>E13*9</f>
        <v>4212</v>
      </c>
      <c r="H13" s="2">
        <f t="shared" ref="H13:J14" si="6">H$8</f>
        <v>98</v>
      </c>
      <c r="I13" s="2">
        <f t="shared" si="6"/>
        <v>145</v>
      </c>
      <c r="J13" s="2">
        <f t="shared" si="6"/>
        <v>395</v>
      </c>
      <c r="K13" s="2">
        <f t="shared" ref="K13:K14" si="7">SUM(G13:J13)</f>
        <v>4850</v>
      </c>
      <c r="M13" s="2">
        <f t="shared" ref="M13:M14" si="8">K13*3</f>
        <v>14550</v>
      </c>
      <c r="O13" s="2">
        <f>(C13*9+638)*3</f>
        <v>13956</v>
      </c>
      <c r="Q13" s="2">
        <f>M13-O13</f>
        <v>594</v>
      </c>
      <c r="R13" s="8">
        <f>Q13/O13</f>
        <v>4.2562338779019777E-2</v>
      </c>
      <c r="T13" s="5"/>
      <c r="U13" s="29"/>
    </row>
    <row r="14" spans="1:21" x14ac:dyDescent="0.25">
      <c r="B14" s="2" t="s">
        <v>50</v>
      </c>
      <c r="C14" s="2">
        <v>739</v>
      </c>
      <c r="E14" s="2">
        <f>University!M15</f>
        <v>775</v>
      </c>
      <c r="G14" s="2">
        <f>E14*9</f>
        <v>6975</v>
      </c>
      <c r="H14" s="2">
        <f t="shared" si="6"/>
        <v>98</v>
      </c>
      <c r="I14" s="2">
        <f t="shared" si="6"/>
        <v>145</v>
      </c>
      <c r="J14" s="2">
        <f t="shared" si="6"/>
        <v>395</v>
      </c>
      <c r="K14" s="2">
        <f t="shared" si="7"/>
        <v>7613</v>
      </c>
      <c r="M14" s="2">
        <f t="shared" si="8"/>
        <v>22839</v>
      </c>
      <c r="O14" s="2">
        <f>(C14*9+638)*3</f>
        <v>21867</v>
      </c>
      <c r="Q14" s="2">
        <f t="shared" ref="Q14" si="9">M14-O14</f>
        <v>972</v>
      </c>
      <c r="R14" s="8">
        <f t="shared" ref="R14" si="10">Q14/O14</f>
        <v>4.4450541912470845E-2</v>
      </c>
      <c r="T14" s="5"/>
      <c r="U14" s="29"/>
    </row>
    <row r="15" spans="1:21" x14ac:dyDescent="0.25">
      <c r="T15" s="5"/>
      <c r="U15" s="29"/>
    </row>
    <row r="17" spans="1:13" x14ac:dyDescent="0.25">
      <c r="A17" s="1" t="s">
        <v>53</v>
      </c>
    </row>
    <row r="18" spans="1:13" x14ac:dyDescent="0.25">
      <c r="B18" s="2" t="s">
        <v>54</v>
      </c>
    </row>
    <row r="19" spans="1:13" x14ac:dyDescent="0.25">
      <c r="B19" s="2" t="s">
        <v>81</v>
      </c>
    </row>
    <row r="20" spans="1:13" x14ac:dyDescent="0.25">
      <c r="B20" s="2" t="s">
        <v>82</v>
      </c>
    </row>
    <row r="24" spans="1:13" x14ac:dyDescent="0.25">
      <c r="A24" s="22" t="s">
        <v>75</v>
      </c>
      <c r="B24" s="22"/>
      <c r="C24" s="23"/>
      <c r="D24" s="21"/>
      <c r="E24" s="24"/>
    </row>
    <row r="25" spans="1:13" x14ac:dyDescent="0.25">
      <c r="A25" s="26" t="s">
        <v>57</v>
      </c>
      <c r="E25" s="26" t="s">
        <v>58</v>
      </c>
      <c r="F25" s="23"/>
      <c r="I25" s="27" t="s">
        <v>59</v>
      </c>
      <c r="K25" s="27" t="s">
        <v>60</v>
      </c>
      <c r="M25" s="20" t="s">
        <v>74</v>
      </c>
    </row>
    <row r="26" spans="1:13" x14ac:dyDescent="0.25">
      <c r="B26" s="23" t="s">
        <v>61</v>
      </c>
      <c r="E26" s="25">
        <v>0.31</v>
      </c>
      <c r="F26" s="23"/>
      <c r="I26" s="21">
        <f>(6095+5145)/2+12600</f>
        <v>18220</v>
      </c>
      <c r="K26" s="21">
        <v>4000</v>
      </c>
      <c r="M26" s="2">
        <f>SUM(I26:K26)</f>
        <v>22220</v>
      </c>
    </row>
    <row r="27" spans="1:13" x14ac:dyDescent="0.25">
      <c r="B27" s="23" t="s">
        <v>64</v>
      </c>
      <c r="E27" s="25">
        <v>0.09</v>
      </c>
      <c r="F27" s="23"/>
      <c r="I27" s="21">
        <f>(5045+3045)/2+11700</f>
        <v>15745</v>
      </c>
      <c r="K27" s="21">
        <v>4000</v>
      </c>
      <c r="M27" s="2">
        <f t="shared" ref="M27:M37" si="11">SUM(I27:K27)</f>
        <v>19745</v>
      </c>
    </row>
    <row r="28" spans="1:13" x14ac:dyDescent="0.25">
      <c r="B28" s="23" t="s">
        <v>65</v>
      </c>
      <c r="E28" s="25">
        <v>0.05</v>
      </c>
      <c r="F28" s="23"/>
      <c r="I28" s="21">
        <f>(2945+2145)/2+11700</f>
        <v>14245</v>
      </c>
      <c r="K28" s="21">
        <v>4000</v>
      </c>
      <c r="M28" s="2">
        <f t="shared" si="11"/>
        <v>18245</v>
      </c>
    </row>
    <row r="29" spans="1:13" x14ac:dyDescent="0.25">
      <c r="B29" s="23" t="s">
        <v>66</v>
      </c>
      <c r="E29" s="25">
        <v>0.04</v>
      </c>
      <c r="F29" s="23"/>
      <c r="I29" s="21">
        <f>(2045+642)/2+5500</f>
        <v>6843.5</v>
      </c>
      <c r="K29" s="21">
        <v>4000</v>
      </c>
      <c r="M29" s="2">
        <f t="shared" si="11"/>
        <v>10843.5</v>
      </c>
    </row>
    <row r="30" spans="1:13" x14ac:dyDescent="0.25">
      <c r="B30" s="16" t="s">
        <v>67</v>
      </c>
      <c r="E30" s="25">
        <v>0.11</v>
      </c>
      <c r="F30" s="16"/>
      <c r="I30" s="21">
        <v>0</v>
      </c>
      <c r="K30" s="21">
        <v>2500</v>
      </c>
      <c r="M30" s="2">
        <f t="shared" si="11"/>
        <v>2500</v>
      </c>
    </row>
    <row r="31" spans="1:13" x14ac:dyDescent="0.25">
      <c r="B31" s="16" t="s">
        <v>68</v>
      </c>
      <c r="E31" s="25">
        <v>7.0000000000000007E-2</v>
      </c>
      <c r="F31" s="16"/>
      <c r="I31" s="21">
        <v>0</v>
      </c>
      <c r="K31" s="21">
        <v>2000</v>
      </c>
      <c r="M31" s="2">
        <f t="shared" si="11"/>
        <v>2000</v>
      </c>
    </row>
    <row r="32" spans="1:13" x14ac:dyDescent="0.25">
      <c r="B32" s="16" t="s">
        <v>69</v>
      </c>
      <c r="E32" s="25">
        <v>7.0000000000000007E-2</v>
      </c>
      <c r="F32" s="16"/>
      <c r="I32" s="21">
        <v>0</v>
      </c>
      <c r="K32" s="21">
        <v>1500</v>
      </c>
      <c r="M32" s="2">
        <f t="shared" si="11"/>
        <v>1500</v>
      </c>
    </row>
    <row r="33" spans="2:13" x14ac:dyDescent="0.25">
      <c r="B33" s="16" t="s">
        <v>70</v>
      </c>
      <c r="E33" s="25">
        <v>7.0000000000000007E-2</v>
      </c>
      <c r="F33" s="16"/>
      <c r="I33" s="21">
        <v>0</v>
      </c>
      <c r="K33" s="21">
        <v>1000</v>
      </c>
      <c r="M33" s="2">
        <f t="shared" si="11"/>
        <v>1000</v>
      </c>
    </row>
    <row r="34" spans="2:13" x14ac:dyDescent="0.25">
      <c r="B34" s="16" t="s">
        <v>71</v>
      </c>
      <c r="E34" s="25">
        <v>0.04</v>
      </c>
      <c r="F34" s="16"/>
      <c r="I34" s="21">
        <v>0</v>
      </c>
      <c r="K34" s="21">
        <v>1000</v>
      </c>
      <c r="M34" s="2">
        <f t="shared" si="11"/>
        <v>1000</v>
      </c>
    </row>
    <row r="35" spans="2:13" x14ac:dyDescent="0.25">
      <c r="B35" s="16" t="s">
        <v>72</v>
      </c>
      <c r="E35" s="25">
        <v>7.0000000000000007E-2</v>
      </c>
      <c r="F35" s="16"/>
      <c r="I35" s="21">
        <v>0</v>
      </c>
      <c r="K35" s="21">
        <v>1000</v>
      </c>
      <c r="M35" s="2">
        <f t="shared" si="11"/>
        <v>1000</v>
      </c>
    </row>
    <row r="36" spans="2:13" x14ac:dyDescent="0.25">
      <c r="B36" s="16" t="s">
        <v>73</v>
      </c>
      <c r="E36" s="25">
        <v>0.03</v>
      </c>
      <c r="F36" s="16"/>
      <c r="I36" s="21">
        <v>0</v>
      </c>
      <c r="K36" s="21">
        <v>1000</v>
      </c>
      <c r="M36" s="2">
        <f t="shared" si="11"/>
        <v>1000</v>
      </c>
    </row>
    <row r="37" spans="2:13" x14ac:dyDescent="0.25">
      <c r="B37" s="16" t="s">
        <v>62</v>
      </c>
      <c r="E37" s="25">
        <v>0.04</v>
      </c>
      <c r="F37" s="16"/>
      <c r="I37" s="21">
        <v>0</v>
      </c>
      <c r="K37" s="21">
        <v>1000</v>
      </c>
      <c r="M37" s="2">
        <f t="shared" si="11"/>
        <v>1000</v>
      </c>
    </row>
  </sheetData>
  <mergeCells count="3">
    <mergeCell ref="H5:J5"/>
    <mergeCell ref="T5:U5"/>
    <mergeCell ref="Q5:R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University</vt:lpstr>
      <vt:lpstr>Individual</vt:lpstr>
    </vt:vector>
  </TitlesOfParts>
  <Company>Western Oregon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Camarie Campfield</dc:creator>
  <cp:lastModifiedBy>Lacey D. Davis</cp:lastModifiedBy>
  <cp:lastPrinted>2020-01-31T17:54:30Z</cp:lastPrinted>
  <dcterms:created xsi:type="dcterms:W3CDTF">2020-01-30T19:08:38Z</dcterms:created>
  <dcterms:modified xsi:type="dcterms:W3CDTF">2020-12-15T19:03:21Z</dcterms:modified>
</cp:coreProperties>
</file>